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History" sheetId="1" r:id="rId1"/>
    <sheet name="Income_statement" sheetId="2" r:id="rId2"/>
    <sheet name="Valuation" sheetId="3" r:id="rId3"/>
    <sheet name="Discount_rate" sheetId="4" r:id="rId4"/>
  </sheets>
  <definedNames/>
  <calcPr fullCalcOnLoad="1"/>
</workbook>
</file>

<file path=xl/sharedStrings.xml><?xml version="1.0" encoding="utf-8"?>
<sst xmlns="http://schemas.openxmlformats.org/spreadsheetml/2006/main" count="87" uniqueCount="55">
  <si>
    <t>%</t>
  </si>
  <si>
    <t>Income statement</t>
  </si>
  <si>
    <t>Forecast</t>
  </si>
  <si>
    <t>This is a forecast for years to come</t>
  </si>
  <si>
    <t>(MUSD)</t>
  </si>
  <si>
    <t>before taxes for shareholders</t>
  </si>
  <si>
    <t>Discount rate</t>
  </si>
  <si>
    <t>Revenue growth after the first year.</t>
  </si>
  <si>
    <t>Real estate management</t>
  </si>
  <si>
    <t>Rental income</t>
  </si>
  <si>
    <t>Operation and maintenance costs management</t>
  </si>
  <si>
    <t>Operating net</t>
  </si>
  <si>
    <t>Operating net %</t>
  </si>
  <si>
    <t>Unrealized changes in value</t>
  </si>
  <si>
    <t>Real Estate Trade and changes in value</t>
  </si>
  <si>
    <t>Real estate trade net</t>
  </si>
  <si>
    <t>Results of trade and value changes</t>
  </si>
  <si>
    <t>Administrative expenses</t>
  </si>
  <si>
    <t>Minority share of income</t>
  </si>
  <si>
    <t>OPERATING INCOME</t>
  </si>
  <si>
    <t>Net financial income</t>
  </si>
  <si>
    <t>Financial income and expenses</t>
  </si>
  <si>
    <t>INCOME AFTER FINANCIAL ITEMS</t>
  </si>
  <si>
    <t>Real estate value "Marketvalue"</t>
  </si>
  <si>
    <t>Real estate value "lowest value principle"</t>
  </si>
  <si>
    <t xml:space="preserve">Operating net/real estate value </t>
  </si>
  <si>
    <t>Rental income/Real estate value "Marketvalue"</t>
  </si>
  <si>
    <t>Operating income</t>
  </si>
  <si>
    <t>Real estate value</t>
  </si>
  <si>
    <t>Changes in value real estate</t>
  </si>
  <si>
    <t>Operation expenses</t>
  </si>
  <si>
    <t>DCF - Income statement</t>
  </si>
  <si>
    <t>Value year 1 to 10</t>
  </si>
  <si>
    <t>Residual value</t>
  </si>
  <si>
    <t>Unneeded liquidity av valuation date</t>
  </si>
  <si>
    <t>Totalt value</t>
  </si>
  <si>
    <t>Totalt number of outstanding shares</t>
  </si>
  <si>
    <t>Value per share</t>
  </si>
  <si>
    <t>Valuation of estate</t>
  </si>
  <si>
    <t>Millions</t>
  </si>
  <si>
    <t>Calculated according to CAPM with adjusments for company tax</t>
  </si>
  <si>
    <t>Risk free rate</t>
  </si>
  <si>
    <t>Marketrisk</t>
  </si>
  <si>
    <t>Beta-value</t>
  </si>
  <si>
    <t>Company tax</t>
  </si>
  <si>
    <t>Rate of inflation</t>
  </si>
  <si>
    <t>Growth in earnings after 10 years</t>
  </si>
  <si>
    <t>Risk free interest rate</t>
  </si>
  <si>
    <t>Riskpremium for the stockmarket</t>
  </si>
  <si>
    <t>Beta-value for this type of company or company category</t>
  </si>
  <si>
    <t>Company tax rate</t>
  </si>
  <si>
    <t xml:space="preserve">Infinite real geometric growth after 10 years, never greater than the discount rate (Between 0 and 4 percent) </t>
  </si>
  <si>
    <t>Discount rate before tax</t>
  </si>
  <si>
    <t>With rate of inflation</t>
  </si>
  <si>
    <t>Without rate of inflation and with consideration to growth in earnings after 10 years</t>
  </si>
</sst>
</file>

<file path=xl/styles.xml><?xml version="1.0" encoding="utf-8"?>
<styleSheet xmlns="http://schemas.openxmlformats.org/spreadsheetml/2006/main">
  <numFmts count="2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0\ _k_r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[$€-2]\ #,##0.00_);[Red]\([$€-2]\ #,##0.00\)"/>
    <numFmt numFmtId="169" formatCode="0.000"/>
    <numFmt numFmtId="170" formatCode="0.0000"/>
    <numFmt numFmtId="171" formatCode="0.0"/>
    <numFmt numFmtId="172" formatCode="#,##0.0"/>
    <numFmt numFmtId="173" formatCode="0.0%"/>
    <numFmt numFmtId="174" formatCode="#,##0.000"/>
    <numFmt numFmtId="175" formatCode="#,##0.0000"/>
    <numFmt numFmtId="176" formatCode="mmm/yyyy"/>
    <numFmt numFmtId="177" formatCode="[$-41D]&quot;den &quot;d\ mmmm\ yyyy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%"/>
    <numFmt numFmtId="184" formatCode="0.0000%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8"/>
      <name val="Verdana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9" fontId="0" fillId="33" borderId="12" xfId="48" applyFont="1" applyFill="1" applyBorder="1" applyAlignment="1">
      <alignment/>
    </xf>
    <xf numFmtId="0" fontId="0" fillId="33" borderId="12" xfId="0" applyFill="1" applyBorder="1" applyAlignment="1">
      <alignment/>
    </xf>
    <xf numFmtId="3" fontId="2" fillId="33" borderId="12" xfId="58" applyNumberFormat="1" applyFont="1" applyFill="1" applyBorder="1" applyAlignment="1">
      <alignment/>
    </xf>
    <xf numFmtId="10" fontId="2" fillId="0" borderId="13" xfId="48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10" fontId="2" fillId="0" borderId="0" xfId="48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9" fontId="6" fillId="0" borderId="0" xfId="48" applyFont="1" applyFill="1" applyBorder="1" applyAlignment="1">
      <alignment/>
    </xf>
    <xf numFmtId="3" fontId="2" fillId="0" borderId="0" xfId="0" applyNumberFormat="1" applyFont="1" applyAlignment="1">
      <alignment/>
    </xf>
    <xf numFmtId="9" fontId="2" fillId="0" borderId="0" xfId="48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10" fontId="0" fillId="0" borderId="0" xfId="48" applyNumberFormat="1" applyFont="1" applyFill="1" applyBorder="1" applyAlignment="1">
      <alignment/>
    </xf>
    <xf numFmtId="9" fontId="0" fillId="0" borderId="0" xfId="48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0" fillId="0" borderId="0" xfId="0" applyNumberFormat="1" applyAlignment="1">
      <alignment horizontal="right"/>
    </xf>
    <xf numFmtId="3" fontId="1" fillId="0" borderId="10" xfId="0" applyNumberFormat="1" applyFont="1" applyBorder="1" applyAlignment="1">
      <alignment horizontal="right"/>
    </xf>
    <xf numFmtId="0" fontId="3" fillId="0" borderId="14" xfId="0" applyFont="1" applyBorder="1" applyAlignment="1">
      <alignment/>
    </xf>
    <xf numFmtId="0" fontId="0" fillId="0" borderId="0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9" fontId="0" fillId="0" borderId="0" xfId="48" applyFont="1" applyAlignment="1">
      <alignment/>
    </xf>
    <xf numFmtId="0" fontId="0" fillId="0" borderId="0" xfId="0" applyFont="1" applyAlignment="1">
      <alignment/>
    </xf>
    <xf numFmtId="174" fontId="0" fillId="0" borderId="0" xfId="0" applyNumberFormat="1" applyFont="1" applyBorder="1" applyAlignment="1">
      <alignment horizontal="right"/>
    </xf>
    <xf numFmtId="3" fontId="0" fillId="10" borderId="12" xfId="0" applyNumberForma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183" fontId="0" fillId="33" borderId="12" xfId="48" applyNumberFormat="1" applyFont="1" applyFill="1" applyBorder="1" applyAlignment="1">
      <alignment/>
    </xf>
    <xf numFmtId="183" fontId="1" fillId="0" borderId="10" xfId="48" applyNumberFormat="1" applyFont="1" applyBorder="1" applyAlignment="1">
      <alignment/>
    </xf>
    <xf numFmtId="0" fontId="8" fillId="0" borderId="0" xfId="0" applyFont="1" applyAlignment="1">
      <alignment/>
    </xf>
    <xf numFmtId="10" fontId="0" fillId="0" borderId="12" xfId="48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9" fontId="6" fillId="0" borderId="10" xfId="48" applyFont="1" applyFill="1" applyBorder="1" applyAlignment="1">
      <alignment/>
    </xf>
    <xf numFmtId="10" fontId="2" fillId="0" borderId="10" xfId="48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0" fontId="45" fillId="0" borderId="0" xfId="48" applyNumberFormat="1" applyFont="1" applyAlignment="1">
      <alignment/>
    </xf>
    <xf numFmtId="3" fontId="2" fillId="34" borderId="12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6" fillId="34" borderId="11" xfId="0" applyFont="1" applyFill="1" applyBorder="1" applyAlignment="1">
      <alignment horizontal="center"/>
    </xf>
    <xf numFmtId="0" fontId="2" fillId="34" borderId="0" xfId="0" applyFont="1" applyFill="1" applyAlignment="1">
      <alignment/>
    </xf>
    <xf numFmtId="3" fontId="2" fillId="34" borderId="0" xfId="0" applyNumberFormat="1" applyFont="1" applyFill="1" applyAlignment="1">
      <alignment/>
    </xf>
    <xf numFmtId="3" fontId="0" fillId="34" borderId="0" xfId="0" applyNumberFormat="1" applyFill="1" applyAlignment="1">
      <alignment/>
    </xf>
    <xf numFmtId="3" fontId="2" fillId="34" borderId="15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0" fontId="4" fillId="0" borderId="10" xfId="48" applyNumberFormat="1" applyFont="1" applyBorder="1" applyAlignment="1">
      <alignment/>
    </xf>
    <xf numFmtId="0" fontId="4" fillId="0" borderId="10" xfId="0" applyFont="1" applyBorder="1" applyAlignment="1">
      <alignment/>
    </xf>
    <xf numFmtId="10" fontId="2" fillId="0" borderId="17" xfId="48" applyNumberFormat="1" applyFont="1" applyFill="1" applyBorder="1" applyAlignment="1">
      <alignment/>
    </xf>
    <xf numFmtId="10" fontId="2" fillId="0" borderId="18" xfId="48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10" fontId="4" fillId="0" borderId="10" xfId="48" applyNumberFormat="1" applyFont="1" applyFill="1" applyBorder="1" applyAlignment="1">
      <alignment/>
    </xf>
    <xf numFmtId="0" fontId="6" fillId="0" borderId="0" xfId="0" applyFont="1" applyAlignment="1">
      <alignment/>
    </xf>
    <xf numFmtId="10" fontId="9" fillId="0" borderId="0" xfId="48" applyNumberFormat="1" applyFont="1" applyAlignment="1">
      <alignment/>
    </xf>
    <xf numFmtId="2" fontId="9" fillId="4" borderId="12" xfId="48" applyNumberFormat="1" applyFont="1" applyFill="1" applyBorder="1" applyAlignment="1">
      <alignment/>
    </xf>
    <xf numFmtId="2" fontId="9" fillId="0" borderId="12" xfId="48" applyNumberFormat="1" applyFont="1" applyBorder="1" applyAlignment="1">
      <alignment/>
    </xf>
    <xf numFmtId="10" fontId="2" fillId="0" borderId="0" xfId="0" applyNumberFormat="1" applyFont="1" applyAlignment="1">
      <alignment/>
    </xf>
    <xf numFmtId="10" fontId="2" fillId="35" borderId="19" xfId="0" applyNumberFormat="1" applyFont="1" applyFill="1" applyBorder="1" applyAlignment="1">
      <alignment/>
    </xf>
    <xf numFmtId="10" fontId="2" fillId="35" borderId="0" xfId="0" applyNumberFormat="1" applyFont="1" applyFill="1" applyBorder="1" applyAlignment="1">
      <alignment/>
    </xf>
    <xf numFmtId="10" fontId="2" fillId="0" borderId="0" xfId="48" applyNumberFormat="1" applyFont="1" applyAlignment="1">
      <alignment/>
    </xf>
    <xf numFmtId="2" fontId="2" fillId="4" borderId="12" xfId="0" applyNumberFormat="1" applyFont="1" applyFill="1" applyBorder="1" applyAlignment="1">
      <alignment/>
    </xf>
    <xf numFmtId="2" fontId="2" fillId="34" borderId="12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2" fontId="2" fillId="4" borderId="16" xfId="0" applyNumberFormat="1" applyFont="1" applyFill="1" applyBorder="1" applyAlignment="1">
      <alignment/>
    </xf>
    <xf numFmtId="2" fontId="2" fillId="35" borderId="16" xfId="0" applyNumberFormat="1" applyFont="1" applyFill="1" applyBorder="1" applyAlignment="1">
      <alignment/>
    </xf>
    <xf numFmtId="2" fontId="2" fillId="35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2" fontId="6" fillId="0" borderId="20" xfId="0" applyNumberFormat="1" applyFont="1" applyFill="1" applyBorder="1" applyAlignment="1">
      <alignment/>
    </xf>
    <xf numFmtId="10" fontId="2" fillId="4" borderId="21" xfId="48" applyNumberFormat="1" applyFont="1" applyFill="1" applyBorder="1" applyAlignment="1">
      <alignment/>
    </xf>
    <xf numFmtId="9" fontId="2" fillId="4" borderId="12" xfId="48" applyFont="1" applyFill="1" applyBorder="1" applyAlignment="1">
      <alignment/>
    </xf>
    <xf numFmtId="10" fontId="2" fillId="4" borderId="12" xfId="48" applyNumberFormat="1" applyFont="1" applyFill="1" applyBorder="1" applyAlignment="1">
      <alignment/>
    </xf>
    <xf numFmtId="10" fontId="2" fillId="4" borderId="16" xfId="48" applyNumberFormat="1" applyFont="1" applyFill="1" applyBorder="1" applyAlignment="1">
      <alignment/>
    </xf>
    <xf numFmtId="9" fontId="2" fillId="0" borderId="10" xfId="48" applyFont="1" applyFill="1" applyBorder="1" applyAlignment="1">
      <alignment/>
    </xf>
    <xf numFmtId="9" fontId="2" fillId="0" borderId="19" xfId="48" applyFont="1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1.28125" style="0" bestFit="1" customWidth="1"/>
    <col min="2" max="2" width="8.7109375" style="0" customWidth="1"/>
    <col min="3" max="3" width="7.421875" style="0" customWidth="1"/>
    <col min="4" max="4" width="8.7109375" style="0" customWidth="1"/>
    <col min="5" max="5" width="7.140625" style="0" bestFit="1" customWidth="1"/>
    <col min="6" max="6" width="8.7109375" style="0" customWidth="1"/>
    <col min="7" max="7" width="7.140625" style="0" bestFit="1" customWidth="1"/>
    <col min="8" max="8" width="8.7109375" style="0" customWidth="1"/>
    <col min="9" max="9" width="7.140625" style="0" bestFit="1" customWidth="1"/>
    <col min="10" max="10" width="8.7109375" style="0" customWidth="1"/>
    <col min="11" max="11" width="7.140625" style="0" bestFit="1" customWidth="1"/>
    <col min="12" max="12" width="8.7109375" style="0" customWidth="1"/>
    <col min="13" max="13" width="7.140625" style="0" bestFit="1" customWidth="1"/>
  </cols>
  <sheetData>
    <row r="1" spans="1:4" ht="15">
      <c r="A1" s="4" t="s">
        <v>1</v>
      </c>
      <c r="B1" s="1" t="s">
        <v>2</v>
      </c>
      <c r="C1" s="1"/>
      <c r="D1" s="33" t="s">
        <v>4</v>
      </c>
    </row>
    <row r="2" ht="12.75">
      <c r="B2" t="s">
        <v>3</v>
      </c>
    </row>
    <row r="4" spans="1:12" ht="12.75">
      <c r="A4" s="1" t="s">
        <v>6</v>
      </c>
      <c r="B4" s="41">
        <f>Discount_rate!B11</f>
        <v>0.12611111111111112</v>
      </c>
      <c r="C4" t="s">
        <v>5</v>
      </c>
      <c r="L4" s="52"/>
    </row>
    <row r="5" ht="12.75">
      <c r="L5" s="52"/>
    </row>
    <row r="6" spans="1:25" ht="13.5" thickBot="1">
      <c r="A6" s="8"/>
      <c r="B6" s="9">
        <v>2006</v>
      </c>
      <c r="C6" s="9" t="s">
        <v>0</v>
      </c>
      <c r="D6" s="9">
        <v>2005</v>
      </c>
      <c r="E6" s="9" t="s">
        <v>0</v>
      </c>
      <c r="F6" s="9">
        <v>2004</v>
      </c>
      <c r="G6" s="9" t="s">
        <v>0</v>
      </c>
      <c r="H6" s="9">
        <v>2003</v>
      </c>
      <c r="I6" s="9" t="s">
        <v>0</v>
      </c>
      <c r="J6" s="9">
        <v>2002</v>
      </c>
      <c r="K6" s="9" t="s">
        <v>0</v>
      </c>
      <c r="L6" s="53">
        <v>2001</v>
      </c>
      <c r="M6" s="9" t="s">
        <v>0</v>
      </c>
      <c r="N6" s="9">
        <v>2000</v>
      </c>
      <c r="O6" s="9" t="s">
        <v>0</v>
      </c>
      <c r="P6" s="9">
        <v>1999</v>
      </c>
      <c r="Q6" s="9" t="s">
        <v>0</v>
      </c>
      <c r="R6" s="9">
        <v>1998</v>
      </c>
      <c r="S6" s="9" t="s">
        <v>0</v>
      </c>
      <c r="T6" s="9">
        <v>1997</v>
      </c>
      <c r="U6" s="9" t="s">
        <v>0</v>
      </c>
      <c r="V6" s="9">
        <v>1996</v>
      </c>
      <c r="W6" s="9" t="s">
        <v>0</v>
      </c>
      <c r="X6" s="9">
        <v>1995</v>
      </c>
      <c r="Y6" s="9" t="s">
        <v>0</v>
      </c>
    </row>
    <row r="7" spans="1:13" ht="12.75">
      <c r="A7" s="2" t="s">
        <v>8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54"/>
      <c r="M7" s="10"/>
    </row>
    <row r="8" spans="1:25" ht="12.75">
      <c r="A8" s="3" t="s">
        <v>9</v>
      </c>
      <c r="B8" s="14">
        <v>2349</v>
      </c>
      <c r="C8" s="15">
        <f>B8/B8</f>
        <v>1</v>
      </c>
      <c r="D8" s="14">
        <v>1845</v>
      </c>
      <c r="E8" s="15">
        <f>D8/D8</f>
        <v>1</v>
      </c>
      <c r="F8" s="14">
        <v>1429</v>
      </c>
      <c r="G8" s="15">
        <f>F8/F8</f>
        <v>1</v>
      </c>
      <c r="H8" s="14">
        <v>1376</v>
      </c>
      <c r="I8" s="15">
        <f>H8/H8</f>
        <v>1</v>
      </c>
      <c r="J8" s="14">
        <v>1291</v>
      </c>
      <c r="K8" s="15">
        <f>J8/J8</f>
        <v>1</v>
      </c>
      <c r="L8" s="16">
        <v>1039</v>
      </c>
      <c r="M8" s="17">
        <f>L8/L8</f>
        <v>1</v>
      </c>
      <c r="N8" s="16">
        <v>785</v>
      </c>
      <c r="O8" s="17">
        <f>N8/N8</f>
        <v>1</v>
      </c>
      <c r="P8" s="16">
        <v>718</v>
      </c>
      <c r="Q8" s="17">
        <f>P8/P8</f>
        <v>1</v>
      </c>
      <c r="R8" s="16">
        <v>458</v>
      </c>
      <c r="S8" s="17">
        <f>R8/R8</f>
        <v>1</v>
      </c>
      <c r="T8" s="16">
        <v>388</v>
      </c>
      <c r="U8" s="17">
        <f>T8/T8</f>
        <v>1</v>
      </c>
      <c r="V8" s="16">
        <v>701</v>
      </c>
      <c r="W8" s="17">
        <f>V8/V8</f>
        <v>1</v>
      </c>
      <c r="X8" s="16">
        <v>748</v>
      </c>
      <c r="Y8" s="17">
        <f>X8/X8</f>
        <v>1</v>
      </c>
    </row>
    <row r="9" spans="1:25" ht="12.75">
      <c r="A9" s="3" t="s">
        <v>10</v>
      </c>
      <c r="B9" s="45">
        <v>821</v>
      </c>
      <c r="C9" s="15">
        <f>B9/B8</f>
        <v>0.3495104299702001</v>
      </c>
      <c r="D9" s="45">
        <v>541</v>
      </c>
      <c r="E9" s="15">
        <f>D9/D8</f>
        <v>0.2932249322493225</v>
      </c>
      <c r="F9" s="45">
        <v>412</v>
      </c>
      <c r="G9" s="15">
        <f>F9/F8</f>
        <v>0.28831350594821553</v>
      </c>
      <c r="H9" s="45">
        <v>525</v>
      </c>
      <c r="I9" s="15">
        <f>H9/H8</f>
        <v>0.3815406976744186</v>
      </c>
      <c r="J9" s="45">
        <v>473</v>
      </c>
      <c r="K9" s="15">
        <f>J9/J8</f>
        <v>0.36638264910921764</v>
      </c>
      <c r="L9" s="45">
        <v>401</v>
      </c>
      <c r="M9" s="15">
        <f>L9/L8</f>
        <v>0.3859480269489894</v>
      </c>
      <c r="N9" s="45">
        <v>324</v>
      </c>
      <c r="O9" s="15">
        <f>N9/N8</f>
        <v>0.41273885350318473</v>
      </c>
      <c r="P9" s="45">
        <v>314</v>
      </c>
      <c r="Q9" s="15">
        <f>P9/P8</f>
        <v>0.4373259052924791</v>
      </c>
      <c r="R9" s="45">
        <v>232</v>
      </c>
      <c r="S9" s="15">
        <f>R9/R8</f>
        <v>0.5065502183406113</v>
      </c>
      <c r="T9" s="45">
        <v>270</v>
      </c>
      <c r="U9" s="15">
        <f>T9/T8</f>
        <v>0.6958762886597938</v>
      </c>
      <c r="V9" s="45">
        <v>469</v>
      </c>
      <c r="W9" s="15">
        <f>V9/V8</f>
        <v>0.6690442225392297</v>
      </c>
      <c r="X9" s="45">
        <v>540</v>
      </c>
      <c r="Y9" s="61">
        <f>X9/X8</f>
        <v>0.7219251336898396</v>
      </c>
    </row>
    <row r="10" spans="1:25" ht="12.75">
      <c r="A10" s="7" t="s">
        <v>11</v>
      </c>
      <c r="B10" s="46">
        <f>B8-B9</f>
        <v>1528</v>
      </c>
      <c r="C10" s="46"/>
      <c r="D10" s="46">
        <f>D8-D9</f>
        <v>1304</v>
      </c>
      <c r="E10" s="46"/>
      <c r="F10" s="46">
        <f>F8-F9</f>
        <v>1017</v>
      </c>
      <c r="G10" s="46"/>
      <c r="H10" s="46">
        <f>H8-H9</f>
        <v>851</v>
      </c>
      <c r="I10" s="46"/>
      <c r="J10" s="46">
        <f>J8-J9</f>
        <v>818</v>
      </c>
      <c r="K10" s="47"/>
      <c r="L10" s="46">
        <f>L8-L9</f>
        <v>638</v>
      </c>
      <c r="M10" s="46"/>
      <c r="N10" s="46">
        <f>N8-N9</f>
        <v>461</v>
      </c>
      <c r="O10" s="46"/>
      <c r="P10" s="46">
        <f>P8-P9</f>
        <v>404</v>
      </c>
      <c r="Q10" s="5"/>
      <c r="R10" s="46">
        <f>R8-R9</f>
        <v>226</v>
      </c>
      <c r="S10" s="5"/>
      <c r="T10" s="46">
        <f>T8-T9</f>
        <v>118</v>
      </c>
      <c r="U10" s="5"/>
      <c r="V10" s="46">
        <f>V8-V9</f>
        <v>232</v>
      </c>
      <c r="W10" s="5"/>
      <c r="X10" s="46">
        <f>X8-X9</f>
        <v>208</v>
      </c>
      <c r="Y10" s="5"/>
    </row>
    <row r="11" spans="1:24" ht="12.75">
      <c r="A11" s="40" t="s">
        <v>12</v>
      </c>
      <c r="B11" s="50">
        <f>B10/B8</f>
        <v>0.6504895700297999</v>
      </c>
      <c r="C11" s="50"/>
      <c r="D11" s="50">
        <f aca="true" t="shared" si="0" ref="D11:X11">D10/D8</f>
        <v>0.7067750677506776</v>
      </c>
      <c r="E11" s="50"/>
      <c r="F11" s="50">
        <f t="shared" si="0"/>
        <v>0.7116864940517844</v>
      </c>
      <c r="G11" s="50"/>
      <c r="H11" s="50">
        <f t="shared" si="0"/>
        <v>0.6184593023255814</v>
      </c>
      <c r="I11" s="50"/>
      <c r="J11" s="50">
        <f t="shared" si="0"/>
        <v>0.6336173508907823</v>
      </c>
      <c r="K11" s="19"/>
      <c r="L11" s="50">
        <f t="shared" si="0"/>
        <v>0.6140519730510106</v>
      </c>
      <c r="M11" s="18"/>
      <c r="N11" s="50">
        <f t="shared" si="0"/>
        <v>0.5872611464968153</v>
      </c>
      <c r="O11" s="18"/>
      <c r="P11" s="50">
        <f t="shared" si="0"/>
        <v>0.5626740947075209</v>
      </c>
      <c r="R11" s="50">
        <f t="shared" si="0"/>
        <v>0.49344978165938863</v>
      </c>
      <c r="T11" s="50">
        <f t="shared" si="0"/>
        <v>0.30412371134020616</v>
      </c>
      <c r="V11" s="50">
        <f t="shared" si="0"/>
        <v>0.3309557774607703</v>
      </c>
      <c r="X11" s="50">
        <f t="shared" si="0"/>
        <v>0.27807486631016043</v>
      </c>
    </row>
    <row r="12" spans="1:13" ht="12.75">
      <c r="A12" s="2"/>
      <c r="B12" s="20"/>
      <c r="C12" s="17"/>
      <c r="D12" s="20"/>
      <c r="E12" s="21"/>
      <c r="F12" s="20"/>
      <c r="G12" s="21"/>
      <c r="H12" s="20"/>
      <c r="I12" s="21"/>
      <c r="J12" s="20"/>
      <c r="K12" s="21"/>
      <c r="L12" s="55"/>
      <c r="M12" s="21"/>
    </row>
    <row r="13" spans="1:13" ht="12.75">
      <c r="A13" s="2" t="s">
        <v>14</v>
      </c>
      <c r="B13" s="20"/>
      <c r="C13" s="17"/>
      <c r="D13" s="20"/>
      <c r="E13" s="21"/>
      <c r="F13" s="20"/>
      <c r="G13" s="21"/>
      <c r="H13" s="20"/>
      <c r="I13" s="21"/>
      <c r="J13" s="20"/>
      <c r="K13" s="21"/>
      <c r="L13" s="55"/>
      <c r="M13" s="21"/>
    </row>
    <row r="14" spans="1:25" ht="12.75">
      <c r="A14" s="3" t="s">
        <v>13</v>
      </c>
      <c r="B14" s="16">
        <v>2120</v>
      </c>
      <c r="C14" s="15">
        <f>B14/B28</f>
        <v>0.10101972743733918</v>
      </c>
      <c r="D14" s="16">
        <v>1191</v>
      </c>
      <c r="E14" s="15">
        <f>D14/D28</f>
        <v>0.0484954599128629</v>
      </c>
      <c r="F14" s="16">
        <v>10</v>
      </c>
      <c r="G14" s="15">
        <f>F14/F28</f>
        <v>0.00074393691414968</v>
      </c>
      <c r="H14" s="16">
        <v>-45</v>
      </c>
      <c r="I14" s="15">
        <f>H14/H28</f>
        <v>-0.0036478599221789884</v>
      </c>
      <c r="J14" s="16">
        <v>-48</v>
      </c>
      <c r="K14" s="15">
        <f>J14/J28</f>
        <v>-0.004738400789733465</v>
      </c>
      <c r="L14" s="16">
        <v>-51</v>
      </c>
      <c r="M14" s="15">
        <f>L14/L28</f>
        <v>-0.0053814498258942705</v>
      </c>
      <c r="N14" s="16">
        <v>-47</v>
      </c>
      <c r="O14" s="15">
        <f>N14/N28</f>
        <v>-0.00724525975026977</v>
      </c>
      <c r="P14" s="16">
        <v>-39</v>
      </c>
      <c r="Q14" s="15">
        <f>P14/P28</f>
        <v>-0.007397572078907435</v>
      </c>
      <c r="R14" s="16">
        <v>-22</v>
      </c>
      <c r="S14" s="15">
        <f>R14/R28</f>
        <v>-0.005037783375314861</v>
      </c>
      <c r="T14" s="16">
        <v>-100</v>
      </c>
      <c r="U14" s="15">
        <f>T14/T28</f>
        <v>-0.0544069640914037</v>
      </c>
      <c r="V14" s="16">
        <v>-498</v>
      </c>
      <c r="W14" s="15">
        <f>V14/V28</f>
        <v>-0.176033934252386</v>
      </c>
      <c r="X14" s="16">
        <v>-341</v>
      </c>
      <c r="Y14" s="62">
        <f>X14/X28</f>
        <v>-0.06635532204709087</v>
      </c>
    </row>
    <row r="15" spans="1:25" ht="12.75">
      <c r="A15" s="3" t="s">
        <v>15</v>
      </c>
      <c r="B15" s="45">
        <v>853</v>
      </c>
      <c r="C15" s="15">
        <f>B15/B28</f>
        <v>0.04064614504908034</v>
      </c>
      <c r="D15" s="45">
        <v>318</v>
      </c>
      <c r="E15" s="15">
        <f>D15/D28</f>
        <v>0.012948409951545259</v>
      </c>
      <c r="F15" s="45">
        <v>67</v>
      </c>
      <c r="G15" s="15">
        <f>F15/F28</f>
        <v>0.004984377324802856</v>
      </c>
      <c r="H15" s="45">
        <v>152</v>
      </c>
      <c r="I15" s="15">
        <f>H15/H28</f>
        <v>0.01232166018158236</v>
      </c>
      <c r="J15" s="45">
        <v>137</v>
      </c>
      <c r="K15" s="15">
        <f>J15/J28</f>
        <v>0.013524185587364264</v>
      </c>
      <c r="L15" s="45">
        <v>100</v>
      </c>
      <c r="M15" s="15">
        <f>L15/L28</f>
        <v>0.010551862403714255</v>
      </c>
      <c r="N15" s="45">
        <v>62</v>
      </c>
      <c r="O15" s="15">
        <f>N15/N28</f>
        <v>0.009557576691845229</v>
      </c>
      <c r="P15" s="45">
        <v>127</v>
      </c>
      <c r="Q15" s="15">
        <f>P15/P28</f>
        <v>0.024089529590288317</v>
      </c>
      <c r="R15" s="45">
        <v>68</v>
      </c>
      <c r="S15" s="15">
        <f>R15/R28</f>
        <v>0.01557133043279139</v>
      </c>
      <c r="T15" s="45">
        <v>62</v>
      </c>
      <c r="U15" s="15">
        <f>T15/T28</f>
        <v>0.03373231773667029</v>
      </c>
      <c r="V15" s="45">
        <v>100</v>
      </c>
      <c r="W15" s="15">
        <f>V15/V28</f>
        <v>0.03534817956875221</v>
      </c>
      <c r="X15" s="45">
        <v>63</v>
      </c>
      <c r="Y15" s="61">
        <f>X15/X28</f>
        <v>0.012259194395796848</v>
      </c>
    </row>
    <row r="16" spans="1:25" ht="12.75">
      <c r="A16" s="7" t="s">
        <v>16</v>
      </c>
      <c r="B16" s="42">
        <f>B14+B15</f>
        <v>2973</v>
      </c>
      <c r="C16" s="42"/>
      <c r="D16" s="42">
        <f aca="true" t="shared" si="1" ref="D16:X16">D14+D15</f>
        <v>1509</v>
      </c>
      <c r="E16" s="42"/>
      <c r="F16" s="42">
        <f t="shared" si="1"/>
        <v>77</v>
      </c>
      <c r="G16" s="42"/>
      <c r="H16" s="42">
        <f t="shared" si="1"/>
        <v>107</v>
      </c>
      <c r="I16" s="42"/>
      <c r="J16" s="42">
        <f t="shared" si="1"/>
        <v>89</v>
      </c>
      <c r="K16" s="48"/>
      <c r="L16" s="42">
        <f t="shared" si="1"/>
        <v>49</v>
      </c>
      <c r="M16" s="48"/>
      <c r="N16" s="42">
        <f t="shared" si="1"/>
        <v>15</v>
      </c>
      <c r="O16" s="49"/>
      <c r="P16" s="42">
        <f t="shared" si="1"/>
        <v>88</v>
      </c>
      <c r="Q16" s="49"/>
      <c r="R16" s="42">
        <f t="shared" si="1"/>
        <v>46</v>
      </c>
      <c r="S16" s="49"/>
      <c r="T16" s="42">
        <f t="shared" si="1"/>
        <v>-38</v>
      </c>
      <c r="U16" s="49"/>
      <c r="V16" s="42">
        <f t="shared" si="1"/>
        <v>-398</v>
      </c>
      <c r="W16" s="49"/>
      <c r="X16" s="42">
        <f t="shared" si="1"/>
        <v>-278</v>
      </c>
      <c r="Y16" s="5"/>
    </row>
    <row r="17" spans="2:24" ht="12.75">
      <c r="B17" s="44"/>
      <c r="C17" s="17"/>
      <c r="D17" s="44"/>
      <c r="E17" s="17"/>
      <c r="F17" s="44"/>
      <c r="G17" s="17"/>
      <c r="H17" s="44"/>
      <c r="I17" s="17"/>
      <c r="J17" s="44"/>
      <c r="K17" s="17"/>
      <c r="L17" s="57"/>
      <c r="M17" s="17"/>
      <c r="N17" s="44"/>
      <c r="O17" s="43"/>
      <c r="P17" s="44"/>
      <c r="Q17" s="43"/>
      <c r="R17" s="44"/>
      <c r="S17" s="43"/>
      <c r="T17" s="44"/>
      <c r="U17" s="43"/>
      <c r="V17" s="44"/>
      <c r="W17" s="43"/>
      <c r="X17" s="44"/>
    </row>
    <row r="18" spans="1:25" ht="12.75">
      <c r="A18" s="3" t="s">
        <v>17</v>
      </c>
      <c r="B18" s="16">
        <v>246</v>
      </c>
      <c r="C18" s="15">
        <f>B18/B8</f>
        <v>0.10472541507024266</v>
      </c>
      <c r="D18" s="16">
        <v>152</v>
      </c>
      <c r="E18" s="15">
        <f>D18/D8</f>
        <v>0.08238482384823849</v>
      </c>
      <c r="F18" s="16">
        <v>139</v>
      </c>
      <c r="G18" s="15">
        <f>F18/F8</f>
        <v>0.09727081875437368</v>
      </c>
      <c r="H18" s="16">
        <v>39</v>
      </c>
      <c r="I18" s="15">
        <f>H18/H8</f>
        <v>0.028343023255813952</v>
      </c>
      <c r="J18" s="16">
        <v>32</v>
      </c>
      <c r="K18" s="15">
        <f>J18/J8</f>
        <v>0.024786986831913247</v>
      </c>
      <c r="L18" s="16">
        <v>30</v>
      </c>
      <c r="M18" s="15">
        <f>L18/L8</f>
        <v>0.028873917228103944</v>
      </c>
      <c r="N18" s="16">
        <v>68</v>
      </c>
      <c r="O18" s="15">
        <f>N18/N8</f>
        <v>0.08662420382165605</v>
      </c>
      <c r="P18" s="16">
        <v>26</v>
      </c>
      <c r="Q18" s="15">
        <f>P18/P8</f>
        <v>0.036211699164345405</v>
      </c>
      <c r="R18" s="16">
        <v>21</v>
      </c>
      <c r="S18" s="15">
        <f>R18/R8</f>
        <v>0.04585152838427948</v>
      </c>
      <c r="T18" s="16">
        <v>19</v>
      </c>
      <c r="U18" s="15">
        <f>T18/T8</f>
        <v>0.04896907216494845</v>
      </c>
      <c r="V18" s="16">
        <v>18</v>
      </c>
      <c r="W18" s="15">
        <f>V18/V8</f>
        <v>0.025677603423680456</v>
      </c>
      <c r="X18" s="16">
        <v>19</v>
      </c>
      <c r="Y18" s="62">
        <f>X18/X8</f>
        <v>0.02540106951871658</v>
      </c>
    </row>
    <row r="19" spans="1:25" ht="12.75">
      <c r="A19" s="3" t="s">
        <v>18</v>
      </c>
      <c r="B19" s="16">
        <v>0</v>
      </c>
      <c r="C19" s="15">
        <f>B19/B8</f>
        <v>0</v>
      </c>
      <c r="D19" s="16">
        <v>0</v>
      </c>
      <c r="E19" s="15">
        <f>D19/D8</f>
        <v>0</v>
      </c>
      <c r="F19" s="16">
        <v>0</v>
      </c>
      <c r="G19" s="15">
        <f>F19/F8</f>
        <v>0</v>
      </c>
      <c r="H19" s="16">
        <v>0</v>
      </c>
      <c r="I19" s="15">
        <f>H19/H8</f>
        <v>0</v>
      </c>
      <c r="J19" s="16">
        <v>0</v>
      </c>
      <c r="K19" s="15">
        <f>J19/J8</f>
        <v>0</v>
      </c>
      <c r="L19" s="45">
        <v>0</v>
      </c>
      <c r="M19" s="15">
        <f>L19/L8</f>
        <v>0</v>
      </c>
      <c r="N19" s="16">
        <v>0</v>
      </c>
      <c r="O19" s="15">
        <f>N19/N8</f>
        <v>0</v>
      </c>
      <c r="P19" s="16">
        <v>0</v>
      </c>
      <c r="Q19" s="15">
        <f>P19/P8</f>
        <v>0</v>
      </c>
      <c r="R19" s="16">
        <v>0</v>
      </c>
      <c r="S19" s="15">
        <f>R19/R8</f>
        <v>0</v>
      </c>
      <c r="T19" s="16">
        <v>0</v>
      </c>
      <c r="U19" s="15">
        <f>T19/T8</f>
        <v>0</v>
      </c>
      <c r="V19" s="16">
        <v>0</v>
      </c>
      <c r="W19" s="15">
        <f>V19/V8</f>
        <v>0</v>
      </c>
      <c r="X19" s="16">
        <v>0</v>
      </c>
      <c r="Y19" s="62">
        <f>X19/X8</f>
        <v>0</v>
      </c>
    </row>
    <row r="20" spans="1:25" ht="12.75">
      <c r="A20" s="7" t="s">
        <v>19</v>
      </c>
      <c r="B20" s="22">
        <f>B10+B16-B18-B19</f>
        <v>4255</v>
      </c>
      <c r="C20" s="17">
        <f>B20/(B8+B16)</f>
        <v>0.799511461856445</v>
      </c>
      <c r="D20" s="22">
        <f>D10+D16-D18-D19</f>
        <v>2661</v>
      </c>
      <c r="E20" s="17">
        <f>D20/(D8+D16)</f>
        <v>0.7933810375670841</v>
      </c>
      <c r="F20" s="22">
        <f>F10+F16-F18-F19</f>
        <v>955</v>
      </c>
      <c r="G20" s="17">
        <f>F20/(F8+F16)</f>
        <v>0.6341301460823373</v>
      </c>
      <c r="H20" s="22">
        <f>H10+H16-H18-H19</f>
        <v>919</v>
      </c>
      <c r="I20" s="17">
        <f>H20/(H8+H16)</f>
        <v>0.6196898179366149</v>
      </c>
      <c r="J20" s="22">
        <f>J10+J16-J18-J19</f>
        <v>875</v>
      </c>
      <c r="K20" s="17">
        <f>J20/(J8+J16)</f>
        <v>0.6340579710144928</v>
      </c>
      <c r="L20" s="22">
        <f>L10+L16-L18-L19</f>
        <v>657</v>
      </c>
      <c r="M20" s="17">
        <f>L20/(L8+L16)</f>
        <v>0.6038602941176471</v>
      </c>
      <c r="N20" s="22">
        <f>N10+N16-N18-N19</f>
        <v>408</v>
      </c>
      <c r="O20" s="17">
        <f>N20/(N8+N16)</f>
        <v>0.51</v>
      </c>
      <c r="P20" s="22">
        <f>P10+P16-P18-P19</f>
        <v>466</v>
      </c>
      <c r="Q20" s="17">
        <f>P20/(P8+P16)</f>
        <v>0.5781637717121588</v>
      </c>
      <c r="R20" s="22">
        <f>R10+R16-R18-R19</f>
        <v>251</v>
      </c>
      <c r="S20" s="17">
        <f>R20/(R8+R16)</f>
        <v>0.498015873015873</v>
      </c>
      <c r="T20" s="22">
        <f>T10+T16-T18-T19</f>
        <v>61</v>
      </c>
      <c r="U20" s="17">
        <f>T20/(T8+T16)</f>
        <v>0.1742857142857143</v>
      </c>
      <c r="V20" s="22">
        <f>V10+V16-V18-V19</f>
        <v>-184</v>
      </c>
      <c r="W20" s="17">
        <f>V20/(V8+V16)</f>
        <v>-0.6072607260726073</v>
      </c>
      <c r="X20" s="22">
        <f>X10+X16-X18-X19</f>
        <v>-89</v>
      </c>
      <c r="Y20" s="17">
        <f>X20/(X8+X16)</f>
        <v>-0.18936170212765957</v>
      </c>
    </row>
    <row r="21" spans="2:13" ht="12.75">
      <c r="B21" s="23"/>
      <c r="C21" s="24"/>
      <c r="D21" s="23"/>
      <c r="E21" s="25"/>
      <c r="F21" s="23"/>
      <c r="G21" s="25"/>
      <c r="H21" s="23"/>
      <c r="I21" s="25"/>
      <c r="J21" s="23"/>
      <c r="K21" s="25"/>
      <c r="L21" s="56"/>
      <c r="M21" s="25"/>
    </row>
    <row r="22" spans="1:13" ht="12.75">
      <c r="A22" s="2" t="s">
        <v>21</v>
      </c>
      <c r="B22" s="23"/>
      <c r="C22" s="24"/>
      <c r="D22" s="23"/>
      <c r="E22" s="25"/>
      <c r="F22" s="23"/>
      <c r="G22" s="25"/>
      <c r="H22" s="23"/>
      <c r="I22" s="25"/>
      <c r="J22" s="23"/>
      <c r="K22" s="25"/>
      <c r="L22" s="56"/>
      <c r="M22" s="25"/>
    </row>
    <row r="23" spans="1:25" ht="12.75">
      <c r="A23" s="3" t="s">
        <v>20</v>
      </c>
      <c r="B23" s="16">
        <v>-681</v>
      </c>
      <c r="C23" s="17">
        <f>B23/B8</f>
        <v>-0.28991060025542786</v>
      </c>
      <c r="D23" s="16">
        <v>-546</v>
      </c>
      <c r="E23" s="17">
        <f>D23/D8</f>
        <v>-0.2959349593495935</v>
      </c>
      <c r="F23" s="16">
        <v>-456</v>
      </c>
      <c r="G23" s="17">
        <f>F23/F8</f>
        <v>-0.3191042687193842</v>
      </c>
      <c r="H23" s="16">
        <v>-433</v>
      </c>
      <c r="I23" s="17">
        <f>H23/H8</f>
        <v>-0.31468023255813954</v>
      </c>
      <c r="J23" s="16">
        <v>-423</v>
      </c>
      <c r="K23" s="17">
        <f>J23/J8</f>
        <v>-0.32765298218435324</v>
      </c>
      <c r="L23" s="16">
        <v>-277</v>
      </c>
      <c r="M23" s="17">
        <f>L23/L8</f>
        <v>-0.2666025024061598</v>
      </c>
      <c r="N23" s="16">
        <v>-138</v>
      </c>
      <c r="O23" s="17">
        <f>N23/N8</f>
        <v>-0.17579617834394903</v>
      </c>
      <c r="P23" s="16">
        <v>-174</v>
      </c>
      <c r="Q23" s="17">
        <f>P23/P8</f>
        <v>-0.24233983286908078</v>
      </c>
      <c r="R23" s="16">
        <v>-103</v>
      </c>
      <c r="S23" s="17">
        <f>R23/R8</f>
        <v>-0.22489082969432314</v>
      </c>
      <c r="T23" s="16">
        <v>-88</v>
      </c>
      <c r="U23" s="17">
        <f>T23/T8</f>
        <v>-0.2268041237113402</v>
      </c>
      <c r="V23" s="16">
        <v>-237</v>
      </c>
      <c r="W23" s="17">
        <f>V23/V8</f>
        <v>-0.33808844507845937</v>
      </c>
      <c r="X23" s="16">
        <v>-428</v>
      </c>
      <c r="Y23" s="17">
        <f>X23/X8</f>
        <v>-0.5721925133689839</v>
      </c>
    </row>
    <row r="24" spans="1:25" ht="12.75">
      <c r="A24" s="7" t="s">
        <v>22</v>
      </c>
      <c r="B24" s="22">
        <f>B20+B23</f>
        <v>3574</v>
      </c>
      <c r="C24" s="17">
        <f>B24/(B8+B16)</f>
        <v>0.6715520481022172</v>
      </c>
      <c r="D24" s="22">
        <f>D20+D23</f>
        <v>2115</v>
      </c>
      <c r="E24" s="17">
        <f>D24/(D8+D16)</f>
        <v>0.6305903398926654</v>
      </c>
      <c r="F24" s="22">
        <f>F20+F23</f>
        <v>499</v>
      </c>
      <c r="G24" s="17">
        <f>F24/(F8+F16)</f>
        <v>0.33134130146082336</v>
      </c>
      <c r="H24" s="22">
        <f>H20+H23</f>
        <v>486</v>
      </c>
      <c r="I24" s="17">
        <f>H24/(H8+H16)</f>
        <v>0.327714093054619</v>
      </c>
      <c r="J24" s="22">
        <f>J20+J23</f>
        <v>452</v>
      </c>
      <c r="K24" s="17">
        <f>J24/(J8+J16)</f>
        <v>0.32753623188405795</v>
      </c>
      <c r="L24" s="51">
        <f>L20+L23</f>
        <v>380</v>
      </c>
      <c r="M24" s="17">
        <f>L24/(L8+L16)</f>
        <v>0.3492647058823529</v>
      </c>
      <c r="N24" s="51">
        <f>N20+N23</f>
        <v>270</v>
      </c>
      <c r="O24" s="17">
        <f>N24/(N8+N16)</f>
        <v>0.3375</v>
      </c>
      <c r="P24" s="22">
        <f>P20+P23</f>
        <v>292</v>
      </c>
      <c r="Q24" s="17">
        <f>P24/(P8+P16)</f>
        <v>0.36228287841191065</v>
      </c>
      <c r="R24" s="22">
        <f>R20+R23</f>
        <v>148</v>
      </c>
      <c r="S24" s="17">
        <f>R24/(R8+R16)</f>
        <v>0.29365079365079366</v>
      </c>
      <c r="T24" s="22">
        <f>T20+T23</f>
        <v>-27</v>
      </c>
      <c r="U24" s="17">
        <f>T24/(T8+T16)</f>
        <v>-0.07714285714285714</v>
      </c>
      <c r="V24" s="22">
        <f>V20+V23</f>
        <v>-421</v>
      </c>
      <c r="W24" s="17">
        <f>V24/(V8+V16)</f>
        <v>-1.3894389438943895</v>
      </c>
      <c r="X24" s="22">
        <f>X20+X23</f>
        <v>-517</v>
      </c>
      <c r="Y24" s="17">
        <f>X24/(X8+X16)</f>
        <v>-1.1</v>
      </c>
    </row>
    <row r="27" spans="1:24" ht="12.75">
      <c r="A27" s="3" t="s">
        <v>23</v>
      </c>
      <c r="B27" s="63">
        <v>23106</v>
      </c>
      <c r="C27" s="63"/>
      <c r="D27" s="63">
        <v>25750</v>
      </c>
      <c r="E27" s="63"/>
      <c r="F27" s="63">
        <v>13452</v>
      </c>
      <c r="G27" s="63"/>
      <c r="H27" s="63"/>
      <c r="I27" s="63"/>
      <c r="J27" s="63"/>
      <c r="K27" s="63"/>
      <c r="L27" s="63">
        <v>10500</v>
      </c>
      <c r="M27" s="63"/>
      <c r="N27" s="63"/>
      <c r="O27" s="63"/>
      <c r="P27" s="63">
        <v>5797</v>
      </c>
      <c r="Q27" s="63"/>
      <c r="R27" s="63"/>
      <c r="S27" s="63"/>
      <c r="T27" s="63"/>
      <c r="U27" s="63"/>
      <c r="V27" s="63"/>
      <c r="W27" s="63"/>
      <c r="X27" s="63"/>
    </row>
    <row r="28" spans="1:24" ht="12.75">
      <c r="A28" s="26" t="s">
        <v>24</v>
      </c>
      <c r="B28" s="63">
        <f>B27-B14</f>
        <v>20986</v>
      </c>
      <c r="C28" s="3"/>
      <c r="D28" s="63">
        <f>D27-D14</f>
        <v>24559</v>
      </c>
      <c r="E28" s="3"/>
      <c r="F28" s="63">
        <f>F27-F14</f>
        <v>13442</v>
      </c>
      <c r="G28" s="3"/>
      <c r="H28" s="3">
        <v>12336</v>
      </c>
      <c r="I28" s="3"/>
      <c r="J28" s="3">
        <v>10130</v>
      </c>
      <c r="K28" s="3"/>
      <c r="L28" s="3">
        <v>9477</v>
      </c>
      <c r="M28" s="3"/>
      <c r="N28" s="3">
        <v>6487</v>
      </c>
      <c r="O28" s="3"/>
      <c r="P28" s="3">
        <v>5272</v>
      </c>
      <c r="Q28" s="3"/>
      <c r="R28" s="3">
        <v>4367</v>
      </c>
      <c r="S28" s="3"/>
      <c r="T28" s="3">
        <v>1838</v>
      </c>
      <c r="U28" s="3"/>
      <c r="V28" s="3">
        <v>2829</v>
      </c>
      <c r="W28" s="3"/>
      <c r="X28" s="3">
        <v>5139</v>
      </c>
    </row>
    <row r="29" spans="1:24" ht="12.75">
      <c r="A29" s="58" t="s">
        <v>25</v>
      </c>
      <c r="B29" s="59">
        <f>B10/B27</f>
        <v>0.06613000952133645</v>
      </c>
      <c r="C29" s="60"/>
      <c r="D29" s="59">
        <f>D10/D27</f>
        <v>0.050640776699029125</v>
      </c>
      <c r="E29" s="60"/>
      <c r="F29" s="59">
        <f>F10/F27</f>
        <v>0.0756021409455843</v>
      </c>
      <c r="G29" s="60"/>
      <c r="H29" s="59">
        <f>H10/H28</f>
        <v>0.06898508430609598</v>
      </c>
      <c r="I29" s="60"/>
      <c r="J29" s="59">
        <f>J10/J28</f>
        <v>0.0807502467917078</v>
      </c>
      <c r="K29" s="60"/>
      <c r="L29" s="59">
        <f>L10/L28</f>
        <v>0.06732088213569695</v>
      </c>
      <c r="M29" s="60"/>
      <c r="N29" s="59">
        <f>N10/N28</f>
        <v>0.07106520733775243</v>
      </c>
      <c r="O29" s="60"/>
      <c r="P29" s="59">
        <f>P10/P28</f>
        <v>0.07663125948406677</v>
      </c>
      <c r="Q29" s="60"/>
      <c r="R29" s="59">
        <f>R10/R28</f>
        <v>0.05175177467368903</v>
      </c>
      <c r="S29" s="60"/>
      <c r="T29" s="59">
        <f>T10/T28</f>
        <v>0.06420021762785637</v>
      </c>
      <c r="U29" s="60"/>
      <c r="V29" s="59">
        <f>V10/V28</f>
        <v>0.08200777659950513</v>
      </c>
      <c r="W29" s="60"/>
      <c r="X29" s="59">
        <f>X10/X28</f>
        <v>0.040474800544853085</v>
      </c>
    </row>
    <row r="30" spans="1:24" ht="12.75">
      <c r="A30" s="64" t="s">
        <v>26</v>
      </c>
      <c r="B30" s="59">
        <f>B8/B27</f>
        <v>0.10166190599844196</v>
      </c>
      <c r="C30" s="59"/>
      <c r="D30" s="59">
        <f>D8/D27</f>
        <v>0.0716504854368932</v>
      </c>
      <c r="E30" s="59"/>
      <c r="F30" s="59">
        <f>F8/F27</f>
        <v>0.10622955694320547</v>
      </c>
      <c r="G30" s="59"/>
      <c r="H30" s="59">
        <f>H8/H28</f>
        <v>0.11154345006485085</v>
      </c>
      <c r="I30" s="59"/>
      <c r="J30" s="59">
        <f aca="true" t="shared" si="2" ref="J30:X30">J8/J28</f>
        <v>0.12744323790720632</v>
      </c>
      <c r="K30" s="59"/>
      <c r="L30" s="59">
        <f t="shared" si="2"/>
        <v>0.10963385037459111</v>
      </c>
      <c r="M30" s="59"/>
      <c r="N30" s="59">
        <f t="shared" si="2"/>
        <v>0.12101125327578234</v>
      </c>
      <c r="O30" s="59"/>
      <c r="P30" s="59">
        <f t="shared" si="2"/>
        <v>0.13619119878603944</v>
      </c>
      <c r="Q30" s="59"/>
      <c r="R30" s="59">
        <f t="shared" si="2"/>
        <v>0.10487749026791848</v>
      </c>
      <c r="S30" s="59"/>
      <c r="T30" s="59">
        <f t="shared" si="2"/>
        <v>0.21109902067464636</v>
      </c>
      <c r="U30" s="59"/>
      <c r="V30" s="59">
        <f t="shared" si="2"/>
        <v>0.24779073877695298</v>
      </c>
      <c r="W30" s="59"/>
      <c r="X30" s="59">
        <f t="shared" si="2"/>
        <v>0.1455536096516832</v>
      </c>
    </row>
    <row r="31" spans="2:6" ht="12.75">
      <c r="B31" s="32"/>
      <c r="C31" s="32"/>
      <c r="D31" s="32"/>
      <c r="E31" s="32"/>
      <c r="F31" s="3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showGridLines="0" zoomScalePageLayoutView="0" workbookViewId="0" topLeftCell="A1">
      <selection activeCell="A36" sqref="A36"/>
    </sheetView>
  </sheetViews>
  <sheetFormatPr defaultColWidth="9.140625" defaultRowHeight="12.75"/>
  <cols>
    <col min="1" max="1" width="39.8515625" style="0" customWidth="1"/>
    <col min="2" max="2" width="7.7109375" style="0" customWidth="1"/>
    <col min="3" max="4" width="8.8515625" style="0" customWidth="1"/>
    <col min="5" max="12" width="10.00390625" style="0" bestFit="1" customWidth="1"/>
  </cols>
  <sheetData>
    <row r="1" spans="1:5" ht="15">
      <c r="A1" s="4" t="s">
        <v>1</v>
      </c>
      <c r="B1" s="4"/>
      <c r="C1" s="1" t="s">
        <v>2</v>
      </c>
      <c r="D1" s="1"/>
      <c r="E1" s="33" t="s">
        <v>4</v>
      </c>
    </row>
    <row r="2" ht="12.75">
      <c r="C2" t="s">
        <v>3</v>
      </c>
    </row>
    <row r="4" spans="1:4" ht="12.75">
      <c r="A4" s="1" t="s">
        <v>6</v>
      </c>
      <c r="B4" s="1"/>
      <c r="C4" s="41">
        <f>Discount_rate!B11</f>
        <v>0.12611111111111112</v>
      </c>
      <c r="D4" t="s">
        <v>5</v>
      </c>
    </row>
    <row r="6" spans="1:12" ht="13.5" thickBot="1">
      <c r="A6" s="8"/>
      <c r="B6" s="37" t="s">
        <v>0</v>
      </c>
      <c r="C6" s="9">
        <v>2007</v>
      </c>
      <c r="D6" s="9">
        <v>2008</v>
      </c>
      <c r="E6" s="9">
        <v>2009</v>
      </c>
      <c r="F6" s="9">
        <v>2010</v>
      </c>
      <c r="G6" s="9">
        <v>2011</v>
      </c>
      <c r="H6" s="9">
        <v>2012</v>
      </c>
      <c r="I6" s="9">
        <v>2013</v>
      </c>
      <c r="J6" s="9">
        <v>2014</v>
      </c>
      <c r="K6" s="9">
        <v>2015</v>
      </c>
      <c r="L6" s="9">
        <v>2016</v>
      </c>
    </row>
    <row r="7" spans="1:13" ht="12.75">
      <c r="A7" s="2" t="s">
        <v>27</v>
      </c>
      <c r="D7" s="81">
        <v>0.04</v>
      </c>
      <c r="E7" s="81">
        <v>0.04</v>
      </c>
      <c r="F7" s="81">
        <v>0.04</v>
      </c>
      <c r="G7" s="81">
        <v>0.04</v>
      </c>
      <c r="H7" s="81">
        <v>0.04</v>
      </c>
      <c r="I7" s="81">
        <v>0.04</v>
      </c>
      <c r="J7" s="81">
        <v>0.04</v>
      </c>
      <c r="K7" s="81">
        <v>0.04</v>
      </c>
      <c r="L7" s="81">
        <v>0.04</v>
      </c>
      <c r="M7" s="10" t="s">
        <v>7</v>
      </c>
    </row>
    <row r="8" spans="1:12" ht="12.75">
      <c r="A8" s="3" t="s">
        <v>9</v>
      </c>
      <c r="B8" s="3"/>
      <c r="C8" s="73">
        <v>1000</v>
      </c>
      <c r="D8" s="74">
        <f>C8*(1+D7)</f>
        <v>1040</v>
      </c>
      <c r="E8" s="74">
        <f aca="true" t="shared" si="0" ref="E8:L8">D8*(1+E7)</f>
        <v>1081.6000000000001</v>
      </c>
      <c r="F8" s="74">
        <f t="shared" si="0"/>
        <v>1124.8640000000003</v>
      </c>
      <c r="G8" s="74">
        <f t="shared" si="0"/>
        <v>1169.8585600000004</v>
      </c>
      <c r="H8" s="74">
        <f>G8*(1+H7)</f>
        <v>1216.6529024000004</v>
      </c>
      <c r="I8" s="74">
        <f t="shared" si="0"/>
        <v>1265.3190184960004</v>
      </c>
      <c r="J8" s="74">
        <f t="shared" si="0"/>
        <v>1315.9317792358404</v>
      </c>
      <c r="K8" s="74">
        <f t="shared" si="0"/>
        <v>1368.569050405274</v>
      </c>
      <c r="L8" s="74">
        <f t="shared" si="0"/>
        <v>1423.311812421485</v>
      </c>
    </row>
    <row r="9" spans="1:12" ht="12.75">
      <c r="A9" s="3" t="s">
        <v>10</v>
      </c>
      <c r="B9" s="82">
        <v>0.35</v>
      </c>
      <c r="C9" s="75">
        <f>$B$9*C8</f>
        <v>350</v>
      </c>
      <c r="D9" s="75">
        <f aca="true" t="shared" si="1" ref="D9:L9">$B$9*D8</f>
        <v>364</v>
      </c>
      <c r="E9" s="75">
        <f t="shared" si="1"/>
        <v>378.56</v>
      </c>
      <c r="F9" s="75">
        <f t="shared" si="1"/>
        <v>393.70240000000007</v>
      </c>
      <c r="G9" s="75">
        <f t="shared" si="1"/>
        <v>409.4504960000001</v>
      </c>
      <c r="H9" s="75">
        <f t="shared" si="1"/>
        <v>425.8285158400001</v>
      </c>
      <c r="I9" s="75">
        <f t="shared" si="1"/>
        <v>442.8616564736001</v>
      </c>
      <c r="J9" s="75">
        <f t="shared" si="1"/>
        <v>460.5761227325441</v>
      </c>
      <c r="K9" s="75">
        <f t="shared" si="1"/>
        <v>478.9991676418459</v>
      </c>
      <c r="L9" s="75">
        <f t="shared" si="1"/>
        <v>498.15913434751974</v>
      </c>
    </row>
    <row r="10" spans="1:12" ht="12.75">
      <c r="A10" s="7" t="s">
        <v>11</v>
      </c>
      <c r="B10" s="48"/>
      <c r="C10" s="80">
        <f>C8-C9</f>
        <v>650</v>
      </c>
      <c r="D10" s="80">
        <f aca="true" t="shared" si="2" ref="D10:L10">D8-D9</f>
        <v>676</v>
      </c>
      <c r="E10" s="80">
        <f t="shared" si="2"/>
        <v>703.0400000000002</v>
      </c>
      <c r="F10" s="80">
        <f t="shared" si="2"/>
        <v>731.1616000000001</v>
      </c>
      <c r="G10" s="80">
        <f t="shared" si="2"/>
        <v>760.4080640000002</v>
      </c>
      <c r="H10" s="80">
        <f t="shared" si="2"/>
        <v>790.8243865600002</v>
      </c>
      <c r="I10" s="80">
        <f>I8-I9</f>
        <v>822.4573620224003</v>
      </c>
      <c r="J10" s="80">
        <f t="shared" si="2"/>
        <v>855.3556565032964</v>
      </c>
      <c r="K10" s="80">
        <f t="shared" si="2"/>
        <v>889.5698827634283</v>
      </c>
      <c r="L10" s="80">
        <f t="shared" si="2"/>
        <v>925.1526780739653</v>
      </c>
    </row>
    <row r="11" spans="1:12" ht="12.75">
      <c r="A11" s="40" t="s">
        <v>12</v>
      </c>
      <c r="B11" s="65"/>
      <c r="C11" s="66">
        <f>C10/C8</f>
        <v>0.65</v>
      </c>
      <c r="D11" s="66">
        <f aca="true" t="shared" si="3" ref="D11:L11">D10/D8</f>
        <v>0.65</v>
      </c>
      <c r="E11" s="66">
        <f t="shared" si="3"/>
        <v>0.6500000000000001</v>
      </c>
      <c r="F11" s="66">
        <f t="shared" si="3"/>
        <v>0.65</v>
      </c>
      <c r="G11" s="66">
        <f t="shared" si="3"/>
        <v>0.65</v>
      </c>
      <c r="H11" s="66">
        <f t="shared" si="3"/>
        <v>0.65</v>
      </c>
      <c r="I11" s="66">
        <f t="shared" si="3"/>
        <v>0.65</v>
      </c>
      <c r="J11" s="66">
        <f t="shared" si="3"/>
        <v>0.6500000000000001</v>
      </c>
      <c r="K11" s="66">
        <f t="shared" si="3"/>
        <v>0.6500000000000001</v>
      </c>
      <c r="L11" s="66">
        <f t="shared" si="3"/>
        <v>0.65</v>
      </c>
    </row>
    <row r="12" spans="1:12" ht="12.75">
      <c r="A12" s="40"/>
      <c r="B12" s="65"/>
      <c r="C12" s="66"/>
      <c r="D12" s="66"/>
      <c r="E12" s="66"/>
      <c r="F12" s="66"/>
      <c r="G12" s="66"/>
      <c r="H12" s="66"/>
      <c r="I12" s="66"/>
      <c r="J12" s="66"/>
      <c r="K12" s="66"/>
      <c r="L12" s="66"/>
    </row>
    <row r="13" spans="1:12" ht="12.75">
      <c r="A13" s="2" t="s">
        <v>28</v>
      </c>
      <c r="B13" s="65"/>
      <c r="C13" s="66"/>
      <c r="D13" s="66"/>
      <c r="E13" s="66"/>
      <c r="F13" s="66"/>
      <c r="G13" s="66"/>
      <c r="H13" s="66"/>
      <c r="I13" s="66"/>
      <c r="J13" s="66"/>
      <c r="K13" s="66"/>
      <c r="L13" s="66"/>
    </row>
    <row r="14" spans="1:12" ht="12.75">
      <c r="A14" s="3" t="s">
        <v>29</v>
      </c>
      <c r="B14" s="82">
        <v>0.05</v>
      </c>
      <c r="C14" s="67">
        <v>16.67</v>
      </c>
      <c r="D14" s="68">
        <f>C14*(1+$B$14)</f>
        <v>17.503500000000003</v>
      </c>
      <c r="E14" s="68">
        <f aca="true" t="shared" si="4" ref="E14:L14">D14*(1+$B$14)</f>
        <v>18.378675000000005</v>
      </c>
      <c r="F14" s="68">
        <f t="shared" si="4"/>
        <v>19.297608750000006</v>
      </c>
      <c r="G14" s="68">
        <f t="shared" si="4"/>
        <v>20.262489187500005</v>
      </c>
      <c r="H14" s="68">
        <f t="shared" si="4"/>
        <v>21.275613646875005</v>
      </c>
      <c r="I14" s="68">
        <f t="shared" si="4"/>
        <v>22.339394329218756</v>
      </c>
      <c r="J14" s="68">
        <f t="shared" si="4"/>
        <v>23.456364045679695</v>
      </c>
      <c r="K14" s="68">
        <f t="shared" si="4"/>
        <v>24.62918224796368</v>
      </c>
      <c r="L14" s="68">
        <f t="shared" si="4"/>
        <v>25.860641360361864</v>
      </c>
    </row>
    <row r="15" spans="1:12" ht="12.75">
      <c r="A15" s="2"/>
      <c r="B15" s="65"/>
      <c r="C15" s="69"/>
      <c r="D15" s="69"/>
      <c r="E15" s="69"/>
      <c r="F15" s="69"/>
      <c r="G15" s="69"/>
      <c r="H15" s="69"/>
      <c r="I15" s="69"/>
      <c r="J15" s="69"/>
      <c r="K15" s="69"/>
      <c r="L15" s="69"/>
    </row>
    <row r="16" spans="1:12" ht="12.75">
      <c r="A16" s="2" t="s">
        <v>30</v>
      </c>
      <c r="B16" s="65"/>
      <c r="C16" s="69"/>
      <c r="D16" s="69"/>
      <c r="E16" s="69"/>
      <c r="F16" s="69"/>
      <c r="G16" s="69"/>
      <c r="H16" s="69"/>
      <c r="I16" s="69"/>
      <c r="J16" s="69"/>
      <c r="K16" s="69"/>
      <c r="L16" s="69"/>
    </row>
    <row r="17" spans="1:12" ht="12.75">
      <c r="A17" s="3" t="s">
        <v>17</v>
      </c>
      <c r="B17" s="83">
        <v>0.11</v>
      </c>
      <c r="C17" s="74">
        <f>C8*$B$17</f>
        <v>110</v>
      </c>
      <c r="D17" s="74">
        <f aca="true" t="shared" si="5" ref="D17:L17">D8*$B$17</f>
        <v>114.4</v>
      </c>
      <c r="E17" s="74">
        <f t="shared" si="5"/>
        <v>118.97600000000001</v>
      </c>
      <c r="F17" s="74">
        <f t="shared" si="5"/>
        <v>123.73504000000003</v>
      </c>
      <c r="G17" s="74">
        <f t="shared" si="5"/>
        <v>128.68444160000004</v>
      </c>
      <c r="H17" s="74">
        <f t="shared" si="5"/>
        <v>133.83181926400005</v>
      </c>
      <c r="I17" s="74">
        <f t="shared" si="5"/>
        <v>139.18509203456003</v>
      </c>
      <c r="J17" s="74">
        <f t="shared" si="5"/>
        <v>144.75249571594244</v>
      </c>
      <c r="K17" s="74">
        <f t="shared" si="5"/>
        <v>150.54259554458014</v>
      </c>
      <c r="L17" s="74">
        <f t="shared" si="5"/>
        <v>156.56429936636334</v>
      </c>
    </row>
    <row r="18" spans="1:12" ht="12.75">
      <c r="A18" s="3" t="s">
        <v>18</v>
      </c>
      <c r="B18" s="84">
        <v>0.04</v>
      </c>
      <c r="C18" s="76">
        <v>10</v>
      </c>
      <c r="D18" s="77">
        <f aca="true" t="shared" si="6" ref="D18:L18">D8*$B$18</f>
        <v>41.6</v>
      </c>
      <c r="E18" s="77">
        <f t="shared" si="6"/>
        <v>43.264</v>
      </c>
      <c r="F18" s="77">
        <f t="shared" si="6"/>
        <v>44.994560000000014</v>
      </c>
      <c r="G18" s="77">
        <f t="shared" si="6"/>
        <v>46.79434240000001</v>
      </c>
      <c r="H18" s="77">
        <f t="shared" si="6"/>
        <v>48.66611609600002</v>
      </c>
      <c r="I18" s="77">
        <f t="shared" si="6"/>
        <v>50.61276073984001</v>
      </c>
      <c r="J18" s="77">
        <f t="shared" si="6"/>
        <v>52.63727116943362</v>
      </c>
      <c r="K18" s="77">
        <f t="shared" si="6"/>
        <v>54.74276201621097</v>
      </c>
      <c r="L18" s="77">
        <f t="shared" si="6"/>
        <v>56.932472496859404</v>
      </c>
    </row>
    <row r="19" spans="1:12" ht="12.75">
      <c r="A19" s="29" t="s">
        <v>19</v>
      </c>
      <c r="B19" s="85"/>
      <c r="C19" s="78">
        <f>C10+C14-C17-C18</f>
        <v>546.67</v>
      </c>
      <c r="D19" s="78">
        <f aca="true" t="shared" si="7" ref="D19:L19">D10+D14-D17-D18</f>
        <v>537.5035</v>
      </c>
      <c r="E19" s="78">
        <f t="shared" si="7"/>
        <v>559.1786750000002</v>
      </c>
      <c r="F19" s="78">
        <f t="shared" si="7"/>
        <v>581.7296087500001</v>
      </c>
      <c r="G19" s="78">
        <f t="shared" si="7"/>
        <v>605.1917691875002</v>
      </c>
      <c r="H19" s="78">
        <f t="shared" si="7"/>
        <v>629.6020648468752</v>
      </c>
      <c r="I19" s="78">
        <f>I10+I14-I17-I18</f>
        <v>654.9989035772189</v>
      </c>
      <c r="J19" s="78">
        <f t="shared" si="7"/>
        <v>681.4222536636</v>
      </c>
      <c r="K19" s="78">
        <f t="shared" si="7"/>
        <v>708.9137074506009</v>
      </c>
      <c r="L19" s="78">
        <f t="shared" si="7"/>
        <v>737.5165475711044</v>
      </c>
    </row>
    <row r="20" spans="1:12" ht="12.75">
      <c r="A20" s="2"/>
      <c r="B20" s="86"/>
      <c r="C20" s="70"/>
      <c r="D20" s="70"/>
      <c r="E20" s="70"/>
      <c r="F20" s="70"/>
      <c r="G20" s="70"/>
      <c r="H20" s="70"/>
      <c r="I20" s="70"/>
      <c r="J20" s="70"/>
      <c r="K20" s="70"/>
      <c r="L20" s="70"/>
    </row>
    <row r="21" spans="1:12" ht="12.75">
      <c r="A21" s="2" t="s">
        <v>21</v>
      </c>
      <c r="B21" s="21"/>
      <c r="C21" s="71"/>
      <c r="D21" s="71"/>
      <c r="E21" s="71"/>
      <c r="F21" s="71"/>
      <c r="G21" s="71"/>
      <c r="H21" s="71"/>
      <c r="I21" s="71"/>
      <c r="J21" s="71"/>
      <c r="K21" s="71"/>
      <c r="L21" s="71"/>
    </row>
    <row r="22" spans="1:13" ht="12.75">
      <c r="A22" s="3" t="s">
        <v>20</v>
      </c>
      <c r="B22" s="82">
        <v>0.05</v>
      </c>
      <c r="C22" s="74">
        <v>-60</v>
      </c>
      <c r="D22" s="74">
        <f>C22*(1+$B$22)</f>
        <v>-63</v>
      </c>
      <c r="E22" s="74">
        <f aca="true" t="shared" si="8" ref="E22:L22">D22*(1+$B$22)</f>
        <v>-66.15</v>
      </c>
      <c r="F22" s="74">
        <f t="shared" si="8"/>
        <v>-69.45750000000001</v>
      </c>
      <c r="G22" s="74">
        <f t="shared" si="8"/>
        <v>-72.93037500000001</v>
      </c>
      <c r="H22" s="74">
        <f t="shared" si="8"/>
        <v>-76.57689375000001</v>
      </c>
      <c r="I22" s="74">
        <f t="shared" si="8"/>
        <v>-80.40573843750002</v>
      </c>
      <c r="J22" s="74">
        <f t="shared" si="8"/>
        <v>-84.42602535937502</v>
      </c>
      <c r="K22" s="74">
        <f t="shared" si="8"/>
        <v>-88.64732662734377</v>
      </c>
      <c r="L22" s="74">
        <f t="shared" si="8"/>
        <v>-93.07969295871096</v>
      </c>
      <c r="M22" s="36"/>
    </row>
    <row r="23" spans="1:12" ht="12.75">
      <c r="A23" s="7" t="s">
        <v>22</v>
      </c>
      <c r="B23" s="7"/>
      <c r="C23" s="79">
        <f>C19+C22</f>
        <v>486.66999999999996</v>
      </c>
      <c r="D23" s="79">
        <f aca="true" t="shared" si="9" ref="D23:L23">D19+D22</f>
        <v>474.50350000000003</v>
      </c>
      <c r="E23" s="79">
        <f t="shared" si="9"/>
        <v>493.02867500000025</v>
      </c>
      <c r="F23" s="79">
        <f t="shared" si="9"/>
        <v>512.2721087500001</v>
      </c>
      <c r="G23" s="79">
        <f t="shared" si="9"/>
        <v>532.2613941875002</v>
      </c>
      <c r="H23" s="79">
        <f>H19+H22</f>
        <v>553.0251710968753</v>
      </c>
      <c r="I23" s="79">
        <f>I19+I22</f>
        <v>574.5931651397188</v>
      </c>
      <c r="J23" s="79">
        <f t="shared" si="9"/>
        <v>596.996228304225</v>
      </c>
      <c r="K23" s="79">
        <f t="shared" si="9"/>
        <v>620.2663808232571</v>
      </c>
      <c r="L23" s="79">
        <f t="shared" si="9"/>
        <v>644.4368546123934</v>
      </c>
    </row>
    <row r="24" spans="3:12" ht="12.75">
      <c r="C24" s="72">
        <f>C23/(C14+C8)</f>
        <v>0.4786902338025121</v>
      </c>
      <c r="D24" s="72">
        <f aca="true" t="shared" si="10" ref="D24:L24">D23/(D14+D8)</f>
        <v>0.44870158822169387</v>
      </c>
      <c r="E24" s="72">
        <f t="shared" si="10"/>
        <v>0.44821657565316003</v>
      </c>
      <c r="F24" s="72">
        <f t="shared" si="10"/>
        <v>0.44772705606654534</v>
      </c>
      <c r="G24" s="72">
        <f t="shared" si="10"/>
        <v>0.44723298907357095</v>
      </c>
      <c r="H24" s="72">
        <f t="shared" si="10"/>
        <v>0.44673433395239315</v>
      </c>
      <c r="I24" s="72">
        <f t="shared" si="10"/>
        <v>0.44623104964539345</v>
      </c>
      <c r="J24" s="72">
        <f t="shared" si="10"/>
        <v>0.4457230947569655</v>
      </c>
      <c r="K24" s="72">
        <f t="shared" si="10"/>
        <v>0.4452104275512954</v>
      </c>
      <c r="L24" s="72">
        <f t="shared" si="10"/>
        <v>0.4446930059501425</v>
      </c>
    </row>
    <row r="25" spans="1:2" ht="12.75">
      <c r="A25" s="3"/>
      <c r="B25" s="3"/>
    </row>
    <row r="26" ht="14.25" customHeight="1"/>
  </sheetData>
  <sheetProtection/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showGridLines="0" zoomScalePageLayoutView="0" workbookViewId="0" topLeftCell="A1">
      <selection activeCell="B11" sqref="B11"/>
    </sheetView>
  </sheetViews>
  <sheetFormatPr defaultColWidth="9.140625" defaultRowHeight="12.75"/>
  <cols>
    <col min="1" max="1" width="34.28125" style="0" customWidth="1"/>
    <col min="2" max="2" width="15.28125" style="0" customWidth="1"/>
  </cols>
  <sheetData>
    <row r="1" spans="1:2" ht="15">
      <c r="A1" s="4" t="s">
        <v>38</v>
      </c>
      <c r="B1" s="33" t="s">
        <v>4</v>
      </c>
    </row>
    <row r="2" ht="15">
      <c r="A2" s="4"/>
    </row>
    <row r="3" ht="12.75">
      <c r="A3" s="11" t="s">
        <v>31</v>
      </c>
    </row>
    <row r="4" spans="1:2" ht="12.75">
      <c r="A4" t="s">
        <v>32</v>
      </c>
      <c r="B4" s="27">
        <f>(Income_statement!C23/(1+Discount_rate!B11)^1)+(Income_statement!D23/(1+Discount_rate!B11)^2)+(Income_statement!E23/(1+Discount_rate!B11)^3)+(Income_statement!F23/(1+Discount_rate!B11)^4)+(Income_statement!G23/(1+Discount_rate!B11)^5)+(Income_statement!H23/(1+Discount_rate!B11)^6)+(Income_statement!I23/(1+Discount_rate!B11)^7)+(Income_statement!J23/(1+Discount_rate!B11)^8)+(Income_statement!K23/(1+Discount_rate!B11)^9)+(Income_statement!L23/(1+Discount_rate!B11)^10)</f>
        <v>2925.7675306105225</v>
      </c>
    </row>
    <row r="5" spans="1:2" ht="12.75">
      <c r="A5" t="s">
        <v>33</v>
      </c>
      <c r="B5" s="27">
        <f>((Income_statement!L23)/Discount_rate!B12)/((1+Discount_rate!B11)^10)</f>
        <v>2447.7811801851385</v>
      </c>
    </row>
    <row r="6" spans="1:2" ht="12.75">
      <c r="A6" s="33" t="s">
        <v>34</v>
      </c>
      <c r="B6" s="35">
        <v>1570</v>
      </c>
    </row>
    <row r="7" spans="1:2" ht="12.75">
      <c r="A7" s="6" t="s">
        <v>35</v>
      </c>
      <c r="B7" s="28">
        <f>SUM(B4:B6)</f>
        <v>6943.5487107956615</v>
      </c>
    </row>
    <row r="8" spans="1:3" ht="12.75">
      <c r="A8" s="30" t="s">
        <v>36</v>
      </c>
      <c r="B8" s="34">
        <v>136.502064</v>
      </c>
      <c r="C8" s="33" t="s">
        <v>39</v>
      </c>
    </row>
    <row r="9" spans="1:2" ht="12.75">
      <c r="A9" s="6" t="s">
        <v>37</v>
      </c>
      <c r="B9" s="31">
        <f>B7/B8</f>
        <v>50.86771955913913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2"/>
  <sheetViews>
    <sheetView showGridLines="0" zoomScalePageLayoutView="0" workbookViewId="0" topLeftCell="A1">
      <selection activeCell="B11" sqref="B11"/>
    </sheetView>
  </sheetViews>
  <sheetFormatPr defaultColWidth="9.140625" defaultRowHeight="12.75"/>
  <cols>
    <col min="1" max="1" width="30.00390625" style="0" customWidth="1"/>
    <col min="2" max="2" width="14.421875" style="0" customWidth="1"/>
    <col min="4" max="4" width="9.8515625" style="0" customWidth="1"/>
    <col min="5" max="6" width="11.57421875" style="0" bestFit="1" customWidth="1"/>
  </cols>
  <sheetData>
    <row r="1" spans="1:2" ht="15">
      <c r="A1" s="4" t="s">
        <v>6</v>
      </c>
      <c r="B1" t="s">
        <v>40</v>
      </c>
    </row>
    <row r="4" spans="1:3" ht="12.75">
      <c r="A4" t="s">
        <v>41</v>
      </c>
      <c r="B4" s="38">
        <v>0.044</v>
      </c>
      <c r="C4" t="s">
        <v>47</v>
      </c>
    </row>
    <row r="5" spans="1:3" ht="12.75">
      <c r="A5" s="33" t="s">
        <v>42</v>
      </c>
      <c r="B5" s="12">
        <v>0.04</v>
      </c>
      <c r="C5" s="33" t="s">
        <v>48</v>
      </c>
    </row>
    <row r="6" spans="1:3" ht="12.75">
      <c r="A6" t="s">
        <v>43</v>
      </c>
      <c r="B6" s="13">
        <v>1.17</v>
      </c>
      <c r="C6" t="s">
        <v>49</v>
      </c>
    </row>
    <row r="7" spans="1:3" ht="12.75">
      <c r="A7" t="s">
        <v>44</v>
      </c>
      <c r="B7" s="12">
        <v>0.28</v>
      </c>
      <c r="C7" t="s">
        <v>50</v>
      </c>
    </row>
    <row r="8" spans="1:3" ht="12.75">
      <c r="A8" t="s">
        <v>45</v>
      </c>
      <c r="B8" s="38">
        <v>0.033</v>
      </c>
      <c r="C8" t="s">
        <v>45</v>
      </c>
    </row>
    <row r="9" spans="1:3" ht="12.75">
      <c r="A9" s="33" t="s">
        <v>46</v>
      </c>
      <c r="B9" s="38">
        <v>0</v>
      </c>
      <c r="C9" s="33" t="s">
        <v>51</v>
      </c>
    </row>
    <row r="11" spans="1:3" ht="12.75">
      <c r="A11" s="5" t="s">
        <v>52</v>
      </c>
      <c r="B11" s="39">
        <f>((B4+B6*(B5))/(1-B7))</f>
        <v>0.12611111111111112</v>
      </c>
      <c r="C11" t="s">
        <v>53</v>
      </c>
    </row>
    <row r="12" spans="1:3" ht="12.75">
      <c r="A12" s="5" t="s">
        <v>52</v>
      </c>
      <c r="B12" s="39">
        <f>((B4-B8+B6*(B5))/(1-B7))-B9</f>
        <v>0.08027777777777778</v>
      </c>
      <c r="C12" s="33" t="s">
        <v>54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Ekonomiprogram.biz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Estate valuation</dc:title>
  <dc:subject/>
  <dc:creator>Fabian Svensson</dc:creator>
  <cp:keywords/>
  <dc:description/>
  <cp:lastModifiedBy>Fredde</cp:lastModifiedBy>
  <cp:lastPrinted>2006-05-24T14:37:53Z</cp:lastPrinted>
  <dcterms:created xsi:type="dcterms:W3CDTF">2006-05-24T13:45:37Z</dcterms:created>
  <dcterms:modified xsi:type="dcterms:W3CDTF">2013-04-22T08:02:39Z</dcterms:modified>
  <cp:category/>
  <cp:version/>
  <cp:contentType/>
  <cp:contentStatus/>
</cp:coreProperties>
</file>